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<sst xmlns="http://schemas.openxmlformats.org/spreadsheetml/2006/main" count="1360" uniqueCount="298">
  <si>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</si>
  <si>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</si>
  <si>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</si>
  <si>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</si>
  <si>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</si>
  <si>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</si>
  <si>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</si>
  <si>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</si>
  <si>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</si>
  <si>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</si>
  <si>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</si>
  <si>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</si>
  <si>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</si>
  <si>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</si>
  <si>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</si>
  <si>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</si>
  <si>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</si>
  <si>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</si>
  <si>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</si>
  <si>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</si>
  <si>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</si>
  <si>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</si>
  <si>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</si>
  <si>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</si>
  <si>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</si>
  <si>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</si>
  <si>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</si>
  <si>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</si>
  <si>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</si>
  <si>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</si>
  <si>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</si>
  <si>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</si>
  <si>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</si>
  <si>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</si>
  <si>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</si>
  <si>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</si>
  <si>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</si>
  <si>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</si>
  <si>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</si>
  <si>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</si>
  <si>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</si>
  <si>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</si>
  <si>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</si>
  <si>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</si>
  <si>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</si>
  <si>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</si>
  <si>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</si>
  <si>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</si>
  <si>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</si>
  <si>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</si>
  <si>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</si>
  <si>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</si>
  <si>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</si>
  <si>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</si>
  <si>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</si>
  <si>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</si>
  <si>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</si>
  <si>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</si>
  <si>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</si>
  <si>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</si>
  <si>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</si>
  <si>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</si>
  <si>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</si>
  <si>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</si>
  <si>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</si>
  <si>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</si>
  <si>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</si>
  <si>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</si>
  <si>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</si>
  <si>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</si>
  <si>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</si>
  <si>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</si>
  <si>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</si>
  <si>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</si>
  <si>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</si>
  <si>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</si>
  <si>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</si>
  <si>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</si>
  <si>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</si>
  <si>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</si>
  <si>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</si>
  <si>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</si>
  <si>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</si>
  <si>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</si>
  <si>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</si>
  <si>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</si>
  <si>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</si>
  <si>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</si>
  <si>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</si>
  <si>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</si>
  <si>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</si>
  <si>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</si>
  <si>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</si>
  <si>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</si>
  <si>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</si>
  <si>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</si>
  <si>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</si>
  <si>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</si>
  <si>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</si>
  <si>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</si>
  <si>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</si>
  <si>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</si>
  <si>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</si>
  <si>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</si>
  <si>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</si>
  <si>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</si>
  <si>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</si>
  <si>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</si>
  <si>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</si>
  <si>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</si>
  <si>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</si>
  <si>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</si>
  <si>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</si>
  <si>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</si>
  <si>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</si>
  <si>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</si>
  <si>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</si>
  <si>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</si>
  <si>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</si>
  <si>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</si>
  <si>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</si>
  <si>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</si>
  <si>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</si>
  <si>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</si>
  <si>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</si>
  <si>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</si>
  <si>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</si>
  <si>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</si>
  <si>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</si>
  <si>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</si>
  <si>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</si>
  <si>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</si>
  <si>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</si>
  <si>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</si>
  <si>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</si>
  <si>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</si>
  <si>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</si>
  <si>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</si>
  <si>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</si>
  <si>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</si>
  <si>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</si>
  <si>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</si>
  <si>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</si>
  <si>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</si>
  <si>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</si>
  <si>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</si>
  <si>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</si>
  <si>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</si>
  <si>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</si>
  <si>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</si>
  <si>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</si>
  <si>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</si>
  <si>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</si>
  <si>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</si>
  <si>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</si>
  <si>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</si>
  <si>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</si>
  <si>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</si>
  <si>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</si>
  <si>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</si>
  <si>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</si>
  <si>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</si>
  <si>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</si>
  <si>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</si>
  <si>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</si>
  <si>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</si>
  <si>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</si>
  <si>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</si>
  <si>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</si>
  <si>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</si>
  <si>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</si>
  <si>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</si>
  <si>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</si>
  <si>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</si>
  <si>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</si>
  <si>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</si>
  <si>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</si>
  <si>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</si>
  <si>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</si>
  <si>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</si>
  <si>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</si>
  <si>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</si>
  <si>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</si>
  <si>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</si>
  <si>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</si>
  <si>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</si>
  <si>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</si>
  <si>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</si>
  <si>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</si>
  <si>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</si>
  <si>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</si>
  <si>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</si>
  <si>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</si>
  <si>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</si>
  <si>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</si>
  <si>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</si>
  <si>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</si>
  <si>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</si>
  <si>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</si>
  <si>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</si>
  <si>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</si>
  <si>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</si>
  <si>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</si>
  <si>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</si>
  <si>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</si>
  <si>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</si>
  <si>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</si>
  <si>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</si>
  <si>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</si>
  <si>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</si>
  <si>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</si>
  <si>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</si>
  <si>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</si>
  <si>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</si>
  <si>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</si>
  <si>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</si>
  <si>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</si>
  <si>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</si>
  <si>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</si>
  <si>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</si>
  <si>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</si>
  <si>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</si>
  <si>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</si>
  <si>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</si>
  <si>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</si>
  <si>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</si>
  <si>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</si>
  <si>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</si>
  <si>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</si>
  <si>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</si>
  <si>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</si>
  <si>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</si>
  <si>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</si>
  <si>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</si>
  <si>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</si>
  <si>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</si>
  <si>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</si>
  <si>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</si>
  <si>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</si>
  <si>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</si>
  <si>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</si>
  <si>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</si>
  <si>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</si>
  <si>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</si>
  <si>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</si>
  <si>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</si>
  <si>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</si>
  <si>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</si>
  <si>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</si>
  <si>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</si>
  <si>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</si>
  <si>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</si>
  <si>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</si>
  <si>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</si>
  <si>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</si>
  <si>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</si>
  <si>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</si>
  <si>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</si>
  <si>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</si>
  <si>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</si>
  <si>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</si>
  <si>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</si>
  <si>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</si>
  <si>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</si>
  <si>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</si>
  <si>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</si>
  <si>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</si>
  <si>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</si>
  <si>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</si>
  <si>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</si>
  <si>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</si>
  <si>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</si>
  <si>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</si>
  <si>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</si>
  <si>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</si>
  <si>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</si>
  <si>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</si>
  <si>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</si>
  <si>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</si>
  <si>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</si>
  <si>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</si>
  <si>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</si>
  <si>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</si>
  <si>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</si>
  <si>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</si>
  <si>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</si>
  <si>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</si>
  <si>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</si>
  <si>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</si>
  <si>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</si>
  <si>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</si>
  <si>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</si>
  <si>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</si>
  <si>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</si>
  <si>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</si>
  <si>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</si>
  <si>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</si>
  <si>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05.08.15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</si>
</sst>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83" sqref="J82:M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296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293</v>
      </c>
      <c r="N3" s="259" t="s">
        <v>294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291</v>
      </c>
      <c r="F4" s="222" t="s">
        <v>116</v>
      </c>
      <c r="G4" s="244" t="s">
        <v>292</v>
      </c>
      <c r="H4" s="246" t="s">
        <v>284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297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295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372849.33</v>
      </c>
      <c r="G8" s="18">
        <f aca="true" t="shared" si="0" ref="G8:G54">F8-E8</f>
        <v>-40226.7699999999</v>
      </c>
      <c r="H8" s="45">
        <f>F8/E8*100</f>
        <v>90.26165638728556</v>
      </c>
      <c r="I8" s="31">
        <f aca="true" t="shared" si="1" ref="I8:I54">F8-D8</f>
        <v>-199439.66999999998</v>
      </c>
      <c r="J8" s="31">
        <f aca="true" t="shared" si="2" ref="J8:J14">F8/D8*100</f>
        <v>65.15053233593517</v>
      </c>
      <c r="K8" s="18">
        <f>K9+K15+K18+K19+K20+K32</f>
        <v>50205.00600000001</v>
      </c>
      <c r="L8" s="18"/>
      <c r="M8" s="18">
        <f>M9+M15+M18+M19+M20+M32+M17</f>
        <v>84902.7</v>
      </c>
      <c r="N8" s="18">
        <f>N9+N15+N18+N19+N20+N32+N17</f>
        <v>6077.100000000019</v>
      </c>
      <c r="O8" s="31">
        <f aca="true" t="shared" si="3" ref="O8:O54">N8-M8</f>
        <v>-78825.59999999998</v>
      </c>
      <c r="P8" s="31">
        <f>F8/M8*100</f>
        <v>439.1489669939825</v>
      </c>
      <c r="Q8" s="31">
        <f>N8-33748.16</f>
        <v>-27671.059999999983</v>
      </c>
      <c r="R8" s="125">
        <f>N8/33748.16</f>
        <v>0.18007203948304198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206834.64</v>
      </c>
      <c r="G9" s="43">
        <f t="shared" si="0"/>
        <v>-15690.00999999998</v>
      </c>
      <c r="H9" s="35">
        <f aca="true" t="shared" si="4" ref="H9:H32">F9/E9*100</f>
        <v>92.94909125797975</v>
      </c>
      <c r="I9" s="50">
        <f t="shared" si="1"/>
        <v>-105855.35999999999</v>
      </c>
      <c r="J9" s="50">
        <f t="shared" si="2"/>
        <v>66.14686750455724</v>
      </c>
      <c r="K9" s="132">
        <f>F9-250278.43/75*60</f>
        <v>6611.896000000008</v>
      </c>
      <c r="L9" s="132">
        <f>F9/(250278.43/75*60)*100</f>
        <v>103.30227019563772</v>
      </c>
      <c r="M9" s="35">
        <f>E9-липень!E9</f>
        <v>34220</v>
      </c>
      <c r="N9" s="35">
        <f>F9-липень!F9</f>
        <v>3400.2000000000116</v>
      </c>
      <c r="O9" s="47">
        <f t="shared" si="3"/>
        <v>-30819.79999999999</v>
      </c>
      <c r="P9" s="50">
        <f aca="true" t="shared" si="5" ref="P9:P32">N9/M9*100</f>
        <v>9.93629456458215</v>
      </c>
      <c r="Q9" s="132">
        <f>N9-26568.11</f>
        <v>-23167.90999999999</v>
      </c>
      <c r="R9" s="133">
        <f>N9/26568.11</f>
        <v>0.12798049993017988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182690.38</v>
      </c>
      <c r="G10" s="135">
        <f t="shared" si="0"/>
        <v>-13309.869999999995</v>
      </c>
      <c r="H10" s="137">
        <f t="shared" si="4"/>
        <v>93.20925866165987</v>
      </c>
      <c r="I10" s="136">
        <f t="shared" si="1"/>
        <v>-57719.619999999995</v>
      </c>
      <c r="J10" s="136">
        <f t="shared" si="2"/>
        <v>75.99117341208769</v>
      </c>
      <c r="K10" s="138">
        <f>F10-222647.03/75*60</f>
        <v>4572.756000000023</v>
      </c>
      <c r="L10" s="138">
        <f>F10/(222647.03/75*60)*100</f>
        <v>102.56726757145604</v>
      </c>
      <c r="M10" s="35">
        <f>E10-липень!E10</f>
        <v>30770</v>
      </c>
      <c r="N10" s="35">
        <f>F10-липень!F10</f>
        <v>2620.4100000000035</v>
      </c>
      <c r="O10" s="138">
        <f t="shared" si="3"/>
        <v>-28149.589999999997</v>
      </c>
      <c r="P10" s="136">
        <f t="shared" si="5"/>
        <v>8.516119597010086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10793.45</v>
      </c>
      <c r="G11" s="135">
        <f t="shared" si="0"/>
        <v>-3894.5499999999993</v>
      </c>
      <c r="H11" s="137">
        <f t="shared" si="4"/>
        <v>73.48481753812636</v>
      </c>
      <c r="I11" s="136">
        <f t="shared" si="1"/>
        <v>-12906.55</v>
      </c>
      <c r="J11" s="136">
        <f t="shared" si="2"/>
        <v>45.54198312236287</v>
      </c>
      <c r="K11" s="138">
        <f>F11-15880.56/75*60</f>
        <v>-1910.9979999999996</v>
      </c>
      <c r="L11" s="138">
        <f>F11/(15880.56/75*60)*100</f>
        <v>84.95803989279975</v>
      </c>
      <c r="M11" s="35">
        <f>E11-липень!E11</f>
        <v>1980</v>
      </c>
      <c r="N11" s="35">
        <f>F11-липень!F11</f>
        <v>2.0600000000013097</v>
      </c>
      <c r="O11" s="138">
        <f t="shared" si="3"/>
        <v>-1977.9399999999987</v>
      </c>
      <c r="P11" s="136">
        <f t="shared" si="5"/>
        <v>0.10404040404047019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3094.29</v>
      </c>
      <c r="G12" s="135">
        <f t="shared" si="0"/>
        <v>-154.71000000000004</v>
      </c>
      <c r="H12" s="137">
        <f t="shared" si="4"/>
        <v>95.23822714681441</v>
      </c>
      <c r="I12" s="136">
        <f t="shared" si="1"/>
        <v>-2705.71</v>
      </c>
      <c r="J12" s="136">
        <f t="shared" si="2"/>
        <v>53.3498275862069</v>
      </c>
      <c r="K12" s="138">
        <f>F12-4856.12/75*60</f>
        <v>-790.6059999999998</v>
      </c>
      <c r="L12" s="138">
        <f>F12/(4856.12*60)*100</f>
        <v>1.0619898190324786</v>
      </c>
      <c r="M12" s="35">
        <f>E12-липень!E12</f>
        <v>420</v>
      </c>
      <c r="N12" s="35">
        <f>F12-липень!F12</f>
        <v>41.36999999999989</v>
      </c>
      <c r="O12" s="138">
        <f t="shared" si="3"/>
        <v>-378.6300000000001</v>
      </c>
      <c r="P12" s="136">
        <f t="shared" si="5"/>
        <v>9.849999999999975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4152.72</v>
      </c>
      <c r="G13" s="135">
        <f t="shared" si="0"/>
        <v>-1620.6799999999994</v>
      </c>
      <c r="H13" s="137">
        <f t="shared" si="4"/>
        <v>71.9284996709045</v>
      </c>
      <c r="I13" s="136">
        <f t="shared" si="1"/>
        <v>-4247.28</v>
      </c>
      <c r="J13" s="136">
        <f t="shared" si="2"/>
        <v>49.43714285714286</v>
      </c>
      <c r="K13" s="138">
        <f>F13-6838.4/75*60</f>
        <v>-1317.999999999999</v>
      </c>
      <c r="L13" s="138">
        <f>F13/(6838.4/75*60)*100</f>
        <v>75.90810715956951</v>
      </c>
      <c r="M13" s="35">
        <f>E13-липень!E13</f>
        <v>660</v>
      </c>
      <c r="N13" s="35">
        <f>F13-липень!F13</f>
        <v>92.70000000000027</v>
      </c>
      <c r="O13" s="138">
        <f t="shared" si="3"/>
        <v>-567.2999999999997</v>
      </c>
      <c r="P13" s="136">
        <f t="shared" si="5"/>
        <v>14.045454545454586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6103.79</v>
      </c>
      <c r="G14" s="135">
        <f t="shared" si="0"/>
        <v>3289.79</v>
      </c>
      <c r="H14" s="137">
        <f t="shared" si="4"/>
        <v>216.90796019900498</v>
      </c>
      <c r="I14" s="136">
        <f t="shared" si="1"/>
        <v>1723.79</v>
      </c>
      <c r="J14" s="136">
        <f t="shared" si="2"/>
        <v>139.35593607305935</v>
      </c>
      <c r="K14" s="138">
        <f>F14-56.31/75*60</f>
        <v>6058.742</v>
      </c>
      <c r="L14" s="138">
        <f>F14/(56.31/75*60)*100</f>
        <v>13549.524951163205</v>
      </c>
      <c r="M14" s="35">
        <f>E14-липень!E14</f>
        <v>390</v>
      </c>
      <c r="N14" s="35">
        <f>F14-липень!F14</f>
        <v>643.6700000000001</v>
      </c>
      <c r="O14" s="138">
        <f t="shared" si="3"/>
        <v>253.67000000000007</v>
      </c>
      <c r="P14" s="136">
        <f t="shared" si="5"/>
        <v>165.04358974358976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F15-72.71</f>
        <v>-861.47</v>
      </c>
      <c r="L15" s="53">
        <f>F15/72.71*100</f>
        <v>-1084.802640627149</v>
      </c>
      <c r="M15" s="35">
        <f>E15-липень!E15</f>
        <v>0</v>
      </c>
      <c r="N15" s="35">
        <f>F15-липень!F15</f>
        <v>0</v>
      </c>
      <c r="O15" s="47">
        <f t="shared" si="3"/>
        <v>0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F16-573.12</f>
        <v>-1859.2600000000002</v>
      </c>
      <c r="L16" s="138">
        <f>F16/573.12*100</f>
        <v>-224.4102456728085</v>
      </c>
      <c r="M16" s="35">
        <f>E16-липень!E16</f>
        <v>0</v>
      </c>
      <c r="N16" s="35">
        <f>F16-липень!F16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37170.27</v>
      </c>
      <c r="G19" s="43">
        <f t="shared" si="0"/>
        <v>-6752.480000000003</v>
      </c>
      <c r="H19" s="35">
        <f t="shared" si="4"/>
        <v>84.62646350695255</v>
      </c>
      <c r="I19" s="50">
        <f t="shared" si="1"/>
        <v>-25039.730000000003</v>
      </c>
      <c r="J19" s="178">
        <f>F19/D19*100</f>
        <v>59.74967047098537</v>
      </c>
      <c r="K19" s="179">
        <f>F19-0</f>
        <v>37170.27</v>
      </c>
      <c r="L19" s="180"/>
      <c r="M19" s="35">
        <f>E19-липень!E19</f>
        <v>17700</v>
      </c>
      <c r="N19" s="35">
        <f>F19-липень!F19</f>
        <v>45.65999999999622</v>
      </c>
      <c r="O19" s="47">
        <f t="shared" si="3"/>
        <v>-17654.340000000004</v>
      </c>
      <c r="P19" s="50">
        <f t="shared" si="5"/>
        <v>0.25796610169489387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125587.47000000002</v>
      </c>
      <c r="G20" s="43">
        <f t="shared" si="0"/>
        <v>-15104.829999999973</v>
      </c>
      <c r="H20" s="35">
        <f t="shared" si="4"/>
        <v>89.26392560218294</v>
      </c>
      <c r="I20" s="50">
        <f t="shared" si="1"/>
        <v>-64282.529999999984</v>
      </c>
      <c r="J20" s="178">
        <f aca="true" t="shared" si="6" ref="J20:J46">F20/D20*100</f>
        <v>66.14392479064624</v>
      </c>
      <c r="K20" s="178">
        <f>K21+K25+K26+K27</f>
        <v>10605.520000000008</v>
      </c>
      <c r="L20" s="136"/>
      <c r="M20" s="35">
        <f>E20-липень!E20</f>
        <v>31232.59999999999</v>
      </c>
      <c r="N20" s="35">
        <f>F20-липень!F20</f>
        <v>2630.4800000000105</v>
      </c>
      <c r="O20" s="47">
        <f t="shared" si="3"/>
        <v>-28602.11999999998</v>
      </c>
      <c r="P20" s="50">
        <f t="shared" si="5"/>
        <v>8.422225495155738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68452.13</v>
      </c>
      <c r="G21" s="43">
        <f t="shared" si="0"/>
        <v>-8728.169999999998</v>
      </c>
      <c r="H21" s="35">
        <f t="shared" si="4"/>
        <v>88.69119451466241</v>
      </c>
      <c r="I21" s="50">
        <f t="shared" si="1"/>
        <v>-41847.869999999995</v>
      </c>
      <c r="J21" s="178">
        <f t="shared" si="6"/>
        <v>62.05995466908432</v>
      </c>
      <c r="K21" s="178">
        <f>K22+K23+K24</f>
        <v>13870.590000000004</v>
      </c>
      <c r="L21" s="136"/>
      <c r="M21" s="35">
        <f>E21-липень!E21</f>
        <v>19677.100000000006</v>
      </c>
      <c r="N21" s="35">
        <f>F21-липень!F21</f>
        <v>584.9500000000116</v>
      </c>
      <c r="O21" s="47">
        <f t="shared" si="3"/>
        <v>-19092.149999999994</v>
      </c>
      <c r="P21" s="50">
        <f t="shared" si="5"/>
        <v>2.9727449675003506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8510.21</v>
      </c>
      <c r="G22" s="135">
        <f t="shared" si="0"/>
        <v>-113.09000000000015</v>
      </c>
      <c r="H22" s="137">
        <f t="shared" si="4"/>
        <v>98.68855310611947</v>
      </c>
      <c r="I22" s="136">
        <f t="shared" si="1"/>
        <v>-2189.790000000001</v>
      </c>
      <c r="J22" s="136">
        <f t="shared" si="6"/>
        <v>79.53467289719626</v>
      </c>
      <c r="K22" s="136">
        <f>F22-288.8</f>
        <v>8221.41</v>
      </c>
      <c r="L22" s="136">
        <f>F22/288.8*100</f>
        <v>2946.7486149584483</v>
      </c>
      <c r="M22" s="35">
        <f>E22-липень!E22</f>
        <v>8044.099999999999</v>
      </c>
      <c r="N22" s="35">
        <f>F22-липень!F22</f>
        <v>54.219999999999345</v>
      </c>
      <c r="O22" s="138">
        <f t="shared" si="3"/>
        <v>-7989.88</v>
      </c>
      <c r="P22" s="136">
        <f t="shared" si="5"/>
        <v>0.6740343854501977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864.45</v>
      </c>
      <c r="G23" s="135">
        <f t="shared" si="0"/>
        <v>-613.55</v>
      </c>
      <c r="H23" s="137"/>
      <c r="I23" s="136">
        <f t="shared" si="1"/>
        <v>-1235.55</v>
      </c>
      <c r="J23" s="136">
        <f t="shared" si="6"/>
        <v>41.16428571428571</v>
      </c>
      <c r="K23" s="136">
        <f>F23-0</f>
        <v>864.45</v>
      </c>
      <c r="L23" s="136"/>
      <c r="M23" s="35">
        <f>E23-липень!E23</f>
        <v>1103</v>
      </c>
      <c r="N23" s="35">
        <f>F23-липень!F23</f>
        <v>91.25</v>
      </c>
      <c r="O23" s="138">
        <f t="shared" si="3"/>
        <v>-1011.75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59077.47</v>
      </c>
      <c r="G24" s="135">
        <f t="shared" si="0"/>
        <v>-8001.529999999999</v>
      </c>
      <c r="H24" s="137">
        <f t="shared" si="4"/>
        <v>88.0714828783971</v>
      </c>
      <c r="I24" s="136">
        <f t="shared" si="1"/>
        <v>-38422.53</v>
      </c>
      <c r="J24" s="136">
        <f t="shared" si="6"/>
        <v>60.59227692307692</v>
      </c>
      <c r="K24" s="139">
        <f>F24-54292.74</f>
        <v>4784.730000000003</v>
      </c>
      <c r="L24" s="139">
        <f>F24/54292.74*100</f>
        <v>108.81283574931014</v>
      </c>
      <c r="M24" s="35">
        <f>E24-липень!E24</f>
        <v>10530</v>
      </c>
      <c r="N24" s="35">
        <f>F24-липень!F24</f>
        <v>439.4800000000032</v>
      </c>
      <c r="O24" s="138">
        <f t="shared" si="3"/>
        <v>-10090.519999999997</v>
      </c>
      <c r="P24" s="136">
        <f t="shared" si="5"/>
        <v>4.173599240265937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41.66</v>
      </c>
      <c r="G25" s="43">
        <f t="shared" si="0"/>
        <v>6.159999999999997</v>
      </c>
      <c r="H25" s="35">
        <f t="shared" si="4"/>
        <v>117.35211267605632</v>
      </c>
      <c r="I25" s="50">
        <f t="shared" si="1"/>
        <v>-28.340000000000003</v>
      </c>
      <c r="J25" s="178">
        <f t="shared" si="6"/>
        <v>59.514285714285705</v>
      </c>
      <c r="K25" s="178">
        <f>F25-41.08</f>
        <v>0.5799999999999983</v>
      </c>
      <c r="L25" s="178">
        <f>F25/41.08*100</f>
        <v>101.41187925998052</v>
      </c>
      <c r="M25" s="35">
        <f>E25-липень!E25</f>
        <v>5.5</v>
      </c>
      <c r="N25" s="35">
        <f>F25-липень!F25</f>
        <v>0</v>
      </c>
      <c r="O25" s="47">
        <f t="shared" si="3"/>
        <v>-5.5</v>
      </c>
      <c r="P25" s="50">
        <f t="shared" si="5"/>
        <v>0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-570.15</v>
      </c>
      <c r="G26" s="43">
        <f t="shared" si="0"/>
        <v>-570.15</v>
      </c>
      <c r="H26" s="35"/>
      <c r="I26" s="50">
        <f t="shared" si="1"/>
        <v>-570.15</v>
      </c>
      <c r="J26" s="136"/>
      <c r="K26" s="178">
        <f>F26-4244.7</f>
        <v>-4814.849999999999</v>
      </c>
      <c r="L26" s="178">
        <f>F26/4244.7*100</f>
        <v>-13.432044667467666</v>
      </c>
      <c r="M26" s="35">
        <f>E26-липень!E26</f>
        <v>0</v>
      </c>
      <c r="N26" s="35">
        <f>F26-липень!F26</f>
        <v>-39.789999999999964</v>
      </c>
      <c r="O26" s="47">
        <f t="shared" si="3"/>
        <v>-39.789999999999964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57663.83</v>
      </c>
      <c r="G27" s="43">
        <f t="shared" si="0"/>
        <v>-5812.669999999998</v>
      </c>
      <c r="H27" s="35">
        <f t="shared" si="4"/>
        <v>90.8428000913724</v>
      </c>
      <c r="I27" s="50">
        <f t="shared" si="1"/>
        <v>-21836.17</v>
      </c>
      <c r="J27" s="178">
        <f t="shared" si="6"/>
        <v>72.53311949685535</v>
      </c>
      <c r="K27" s="132">
        <f>F27-56114.63</f>
        <v>1549.2000000000044</v>
      </c>
      <c r="L27" s="132">
        <f>F27/56114.63*100</f>
        <v>102.76077735877436</v>
      </c>
      <c r="M27" s="35">
        <f>E27-липень!E27</f>
        <v>11550</v>
      </c>
      <c r="N27" s="35">
        <f>F27-липень!F27</f>
        <v>2085.3199999999997</v>
      </c>
      <c r="O27" s="47">
        <f t="shared" si="3"/>
        <v>-9464.68</v>
      </c>
      <c r="P27" s="50">
        <f t="shared" si="5"/>
        <v>18.054718614718613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35">
        <f>E28-липень!E28</f>
        <v>0</v>
      </c>
      <c r="N28" s="35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13822.91</v>
      </c>
      <c r="G29" s="135">
        <f t="shared" si="0"/>
        <v>-1757.0900000000001</v>
      </c>
      <c r="H29" s="137">
        <f t="shared" si="4"/>
        <v>88.72214377406932</v>
      </c>
      <c r="I29" s="136">
        <f t="shared" si="1"/>
        <v>-5377.09</v>
      </c>
      <c r="J29" s="136">
        <f t="shared" si="6"/>
        <v>71.99432291666666</v>
      </c>
      <c r="K29" s="139">
        <f>F29-15615.32</f>
        <v>-1792.4099999999999</v>
      </c>
      <c r="L29" s="139">
        <f>F29/15615.32*100</f>
        <v>88.52146481788398</v>
      </c>
      <c r="M29" s="35">
        <f>E29-липень!E29</f>
        <v>3340</v>
      </c>
      <c r="N29" s="35">
        <f>F29-липень!F29</f>
        <v>744.0499999999993</v>
      </c>
      <c r="O29" s="138">
        <f t="shared" si="3"/>
        <v>-2595.9500000000007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43832.31</v>
      </c>
      <c r="G30" s="135">
        <f t="shared" si="0"/>
        <v>-4064.1900000000023</v>
      </c>
      <c r="H30" s="137">
        <f t="shared" si="4"/>
        <v>91.51464094453665</v>
      </c>
      <c r="I30" s="136">
        <f t="shared" si="1"/>
        <v>-16467.690000000002</v>
      </c>
      <c r="J30" s="136">
        <f t="shared" si="6"/>
        <v>72.69039800995024</v>
      </c>
      <c r="K30" s="139">
        <f>F30-40498.93</f>
        <v>3333.3799999999974</v>
      </c>
      <c r="L30" s="139">
        <f>F30/40498.93*100</f>
        <v>108.2307853565514</v>
      </c>
      <c r="M30" s="35">
        <f>E30-липень!E30</f>
        <v>8210</v>
      </c>
      <c r="N30" s="35">
        <f>F30-липень!F30</f>
        <v>1341.2699999999968</v>
      </c>
      <c r="O30" s="138">
        <f t="shared" si="3"/>
        <v>-6868.730000000003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E31-липень!E31</f>
        <v>0</v>
      </c>
      <c r="N31" s="35">
        <f>F31-липень!F31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4029.82</v>
      </c>
      <c r="G32" s="43">
        <f t="shared" si="0"/>
        <v>-1722.2800000000002</v>
      </c>
      <c r="H32" s="35">
        <f t="shared" si="4"/>
        <v>70.05823959945063</v>
      </c>
      <c r="I32" s="50">
        <f t="shared" si="1"/>
        <v>-3470.18</v>
      </c>
      <c r="J32" s="178">
        <f t="shared" si="6"/>
        <v>53.73093333333333</v>
      </c>
      <c r="K32" s="178">
        <f>F32-7363.52</f>
        <v>-3333.7000000000003</v>
      </c>
      <c r="L32" s="178">
        <f>F32/5308.17*100</f>
        <v>75.91731236942299</v>
      </c>
      <c r="M32" s="35">
        <f>E32-липень!E32</f>
        <v>1750.1000000000004</v>
      </c>
      <c r="N32" s="35">
        <f>F32-липень!F32</f>
        <v>0.7600000000002183</v>
      </c>
      <c r="O32" s="47">
        <f t="shared" si="3"/>
        <v>-1749.3400000000001</v>
      </c>
      <c r="P32" s="50">
        <f t="shared" si="5"/>
        <v>0.04342608993773031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20048.079999999998</v>
      </c>
      <c r="G33" s="44">
        <f t="shared" si="0"/>
        <v>-42.12000000000262</v>
      </c>
      <c r="H33" s="45">
        <f>F33/E33*100</f>
        <v>99.79034554160734</v>
      </c>
      <c r="I33" s="31">
        <f t="shared" si="1"/>
        <v>-8659.02</v>
      </c>
      <c r="J33" s="31">
        <f t="shared" si="6"/>
        <v>69.83666061705989</v>
      </c>
      <c r="K33" s="18">
        <f>K34+K35+K36+K37+K38+K41+K42+K47+K48+K52+K40</f>
        <v>11440.09</v>
      </c>
      <c r="L33" s="18"/>
      <c r="M33" s="18">
        <f>M34+M35+M36+M37+M38+M41+M42+M47+M48+M52+M40+M39</f>
        <v>12920.2</v>
      </c>
      <c r="N33" s="18">
        <f>N34+N35+N36+N37+N38+N41+N42+N47+N48+N52+N40+N39</f>
        <v>1222.85</v>
      </c>
      <c r="O33" s="49">
        <f t="shared" si="3"/>
        <v>-11697.35</v>
      </c>
      <c r="P33" s="31">
        <f>N33/M33*100</f>
        <v>9.464636770328632</v>
      </c>
      <c r="Q33" s="31">
        <f>N33-1017.63</f>
        <v>205.2199999999999</v>
      </c>
      <c r="R33" s="127">
        <f>N33/1017.63</f>
        <v>1.2016646521820307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F34-123.45</f>
        <v>-22.049999999999997</v>
      </c>
      <c r="L34" s="50">
        <f>F34/123.45*100</f>
        <v>82.13851761846902</v>
      </c>
      <c r="M34" s="35">
        <f>E34-липень!E34</f>
        <v>0</v>
      </c>
      <c r="N34" s="35">
        <f>F34-липень!F34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278.13</v>
      </c>
      <c r="G36" s="43">
        <f t="shared" si="0"/>
        <v>38.129999999999995</v>
      </c>
      <c r="H36" s="35"/>
      <c r="I36" s="50">
        <f t="shared" si="1"/>
        <v>38.129999999999995</v>
      </c>
      <c r="J36" s="50"/>
      <c r="K36" s="50">
        <f>F36-255.77</f>
        <v>22.359999999999985</v>
      </c>
      <c r="L36" s="50">
        <f>F36/255.77*100</f>
        <v>108.74222934667866</v>
      </c>
      <c r="M36" s="35">
        <f>E36-липень!E36</f>
        <v>240</v>
      </c>
      <c r="N36" s="35">
        <f>F36-липень!F36</f>
        <v>31.639999999999986</v>
      </c>
      <c r="O36" s="47">
        <f t="shared" si="3"/>
        <v>-208.36</v>
      </c>
      <c r="P36" s="50"/>
      <c r="Q36" s="50">
        <f>N36-4.23</f>
        <v>27.409999999999986</v>
      </c>
      <c r="R36" s="126">
        <f>N36/4.23</f>
        <v>7.479905437352242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91.59</v>
      </c>
      <c r="G38" s="43">
        <f t="shared" si="0"/>
        <v>1.5900000000000034</v>
      </c>
      <c r="H38" s="35">
        <f>F38/E38*100</f>
        <v>101.76666666666667</v>
      </c>
      <c r="I38" s="50">
        <f t="shared" si="1"/>
        <v>-48.41</v>
      </c>
      <c r="J38" s="50">
        <f t="shared" si="6"/>
        <v>65.42142857142858</v>
      </c>
      <c r="K38" s="50">
        <f>F38-82.36</f>
        <v>9.230000000000004</v>
      </c>
      <c r="L38" s="50">
        <f>F38/82.36*100</f>
        <v>111.20689655172413</v>
      </c>
      <c r="M38" s="35">
        <f>E38-липень!E38</f>
        <v>10</v>
      </c>
      <c r="N38" s="35">
        <f>F38-липень!F38</f>
        <v>1.3500000000000085</v>
      </c>
      <c r="O38" s="47">
        <f t="shared" si="3"/>
        <v>-8.649999999999991</v>
      </c>
      <c r="P38" s="50">
        <f>N38/M38*100</f>
        <v>13.500000000000083</v>
      </c>
      <c r="Q38" s="50">
        <f>N38-9.02</f>
        <v>-7.669999999999991</v>
      </c>
      <c r="R38" s="126">
        <f>N38/9.02</f>
        <v>0.1496674057649677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E39-липень!E39</f>
        <v>0</v>
      </c>
      <c r="N39" s="35">
        <f>F39-липень!F39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6072.61</v>
      </c>
      <c r="G40" s="43"/>
      <c r="H40" s="35"/>
      <c r="I40" s="50">
        <f t="shared" si="1"/>
        <v>-2927.3900000000003</v>
      </c>
      <c r="J40" s="50"/>
      <c r="K40" s="50">
        <f>F40-0</f>
        <v>6072.61</v>
      </c>
      <c r="L40" s="50"/>
      <c r="M40" s="35">
        <f>E40-липень!E40</f>
        <v>6937</v>
      </c>
      <c r="N40" s="35">
        <f>F40-липень!F40</f>
        <v>134.94999999999982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5864.98</v>
      </c>
      <c r="G41" s="43">
        <f t="shared" si="0"/>
        <v>1244.9799999999996</v>
      </c>
      <c r="H41" s="35">
        <f>F41/E41*100</f>
        <v>126.94761904761904</v>
      </c>
      <c r="I41" s="50">
        <f t="shared" si="1"/>
        <v>-1035.0200000000004</v>
      </c>
      <c r="J41" s="50">
        <f t="shared" si="6"/>
        <v>84.99971014492753</v>
      </c>
      <c r="K41" s="50">
        <f>F41-4735.68</f>
        <v>1129.2999999999993</v>
      </c>
      <c r="L41" s="50">
        <f>F41/4735.68*100</f>
        <v>123.8466281505507</v>
      </c>
      <c r="M41" s="35">
        <f>E41-липень!E41</f>
        <v>550</v>
      </c>
      <c r="N41" s="35">
        <f>F41-липень!F41</f>
        <v>723.2399999999998</v>
      </c>
      <c r="O41" s="47">
        <f t="shared" si="3"/>
        <v>173.23999999999978</v>
      </c>
      <c r="P41" s="50">
        <f>N41/M41*100</f>
        <v>131.4981818181818</v>
      </c>
      <c r="Q41" s="50">
        <f>N41-647.49</f>
        <v>75.74999999999977</v>
      </c>
      <c r="R41" s="126">
        <f>N41/647.49</f>
        <v>1.1169902237872396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4780.56</v>
      </c>
      <c r="G42" s="43">
        <f t="shared" si="0"/>
        <v>-414.1399999999994</v>
      </c>
      <c r="H42" s="35">
        <f>F42/E42*100</f>
        <v>92.0276435597821</v>
      </c>
      <c r="I42" s="50">
        <f t="shared" si="1"/>
        <v>-2319.4399999999996</v>
      </c>
      <c r="J42" s="50">
        <f t="shared" si="6"/>
        <v>67.3318309859155</v>
      </c>
      <c r="K42" s="50">
        <f>F42-685.66</f>
        <v>4094.9000000000005</v>
      </c>
      <c r="L42" s="50">
        <f>F42/685.66*100</f>
        <v>697.2201965988975</v>
      </c>
      <c r="M42" s="35">
        <f>E42-липень!E42</f>
        <v>4632.7</v>
      </c>
      <c r="N42" s="35">
        <f>F42-липень!F42</f>
        <v>88.38000000000011</v>
      </c>
      <c r="O42" s="47">
        <f t="shared" si="3"/>
        <v>-4544.32</v>
      </c>
      <c r="P42" s="50">
        <f>N42/M42*100</f>
        <v>1.9077427849850004</v>
      </c>
      <c r="Q42" s="50">
        <f>N42-79.51</f>
        <v>8.870000000000104</v>
      </c>
      <c r="R42" s="126">
        <f>N42/79.51</f>
        <v>1.1115582945541453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688.79</v>
      </c>
      <c r="G43" s="135">
        <f t="shared" si="0"/>
        <v>-71.21000000000004</v>
      </c>
      <c r="H43" s="137">
        <f>F43/E43*100</f>
        <v>90.63026315789473</v>
      </c>
      <c r="I43" s="136">
        <f t="shared" si="1"/>
        <v>-411.21000000000004</v>
      </c>
      <c r="J43" s="136">
        <f t="shared" si="6"/>
        <v>62.61727272727272</v>
      </c>
      <c r="K43" s="136">
        <f>F43-605.31</f>
        <v>83.48000000000002</v>
      </c>
      <c r="L43" s="136">
        <f>F43/605.31*100</f>
        <v>113.79128050090037</v>
      </c>
      <c r="M43" s="35">
        <f>E43-липень!E43</f>
        <v>270</v>
      </c>
      <c r="N43" s="35">
        <f>F43-липень!F43</f>
        <v>15.209999999999923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45.43</v>
      </c>
      <c r="G44" s="135">
        <f t="shared" si="0"/>
        <v>-4.57</v>
      </c>
      <c r="H44" s="137"/>
      <c r="I44" s="136">
        <f t="shared" si="1"/>
        <v>-34.57</v>
      </c>
      <c r="J44" s="136"/>
      <c r="K44" s="136">
        <f>F44-0</f>
        <v>45.43</v>
      </c>
      <c r="L44" s="136"/>
      <c r="M44" s="35">
        <f>E44-липень!E44</f>
        <v>50</v>
      </c>
      <c r="N44" s="35">
        <f>F44-липень!F44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4045.59</v>
      </c>
      <c r="G46" s="135">
        <f t="shared" si="0"/>
        <v>-338.40999999999985</v>
      </c>
      <c r="H46" s="137">
        <f>F46/E46*100</f>
        <v>92.28079379562044</v>
      </c>
      <c r="I46" s="136">
        <f t="shared" si="1"/>
        <v>-1872.4099999999999</v>
      </c>
      <c r="J46" s="136">
        <f t="shared" si="6"/>
        <v>68.36076377154444</v>
      </c>
      <c r="K46" s="136">
        <f>F46-80.35</f>
        <v>3965.2400000000002</v>
      </c>
      <c r="L46" s="136">
        <f>F46/80.35*100</f>
        <v>5034.959551960175</v>
      </c>
      <c r="M46" s="35">
        <f>E46-липень!E46</f>
        <v>4312</v>
      </c>
      <c r="N46" s="35">
        <f>F46-липень!F46</f>
        <v>96.86000000000013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2653.84</v>
      </c>
      <c r="G48" s="43">
        <f t="shared" si="0"/>
        <v>-46.159999999999854</v>
      </c>
      <c r="H48" s="35">
        <f>F48/E48*100</f>
        <v>98.29037037037037</v>
      </c>
      <c r="I48" s="50">
        <f t="shared" si="1"/>
        <v>-1546.1599999999999</v>
      </c>
      <c r="J48" s="50">
        <f>F48/D48*100</f>
        <v>63.18666666666667</v>
      </c>
      <c r="K48" s="50">
        <f>F48-2702.66</f>
        <v>-48.81999999999971</v>
      </c>
      <c r="L48" s="50">
        <f>F48/2702.66*100</f>
        <v>98.19363145937707</v>
      </c>
      <c r="M48" s="35">
        <f>E48-липень!E48</f>
        <v>350</v>
      </c>
      <c r="N48" s="35">
        <f>F48-липень!F48</f>
        <v>41.92000000000007</v>
      </c>
      <c r="O48" s="47">
        <f t="shared" si="3"/>
        <v>-308.0799999999999</v>
      </c>
      <c r="P48" s="50">
        <f aca="true" t="shared" si="7" ref="P48:P53">N48/M48*100</f>
        <v>11.977142857142878</v>
      </c>
      <c r="Q48" s="50">
        <f>N48-277.38</f>
        <v>-235.45999999999992</v>
      </c>
      <c r="R48" s="126">
        <f>N48/277.38</f>
        <v>0.15112841589155698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701.5</v>
      </c>
      <c r="G51" s="135">
        <f t="shared" si="0"/>
        <v>701.5</v>
      </c>
      <c r="H51" s="137"/>
      <c r="I51" s="136">
        <f t="shared" si="1"/>
        <v>701.5</v>
      </c>
      <c r="J51" s="136"/>
      <c r="K51" s="219">
        <f>F51-635.8</f>
        <v>65.70000000000005</v>
      </c>
      <c r="L51" s="219">
        <f>F51/635.8*100</f>
        <v>110.33343818810948</v>
      </c>
      <c r="M51" s="137">
        <f>E51-липень!E51</f>
        <v>0</v>
      </c>
      <c r="N51" s="137">
        <f>F51-липень!F51</f>
        <v>18.299999999999955</v>
      </c>
      <c r="O51" s="138">
        <f t="shared" si="3"/>
        <v>18.299999999999955</v>
      </c>
      <c r="P51" s="136"/>
      <c r="Q51" s="50">
        <f>N51-64.93</f>
        <v>-46.63000000000005</v>
      </c>
      <c r="R51" s="126">
        <f>N51/64.93</f>
        <v>0.2818419836747259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0.23</v>
      </c>
      <c r="G54" s="43">
        <f t="shared" si="0"/>
        <v>0.23</v>
      </c>
      <c r="H54" s="35"/>
      <c r="I54" s="50">
        <f t="shared" si="1"/>
        <v>0.23</v>
      </c>
      <c r="J54" s="50"/>
      <c r="K54" s="50">
        <f>F54-0.37</f>
        <v>-0.13999999999999999</v>
      </c>
      <c r="L54" s="50"/>
      <c r="M54" s="35">
        <f>E54-липень!E54</f>
        <v>0</v>
      </c>
      <c r="N54" s="35">
        <f>F54-липень!F54</f>
        <v>0.13</v>
      </c>
      <c r="O54" s="47">
        <f t="shared" si="3"/>
        <v>0.13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392912.06</v>
      </c>
      <c r="G55" s="44">
        <f>F55-E55</f>
        <v>-40271.439999999944</v>
      </c>
      <c r="H55" s="45">
        <f>F55/E55*100</f>
        <v>90.70337628279933</v>
      </c>
      <c r="I55" s="31">
        <f>F55-D55</f>
        <v>-208110.53999999998</v>
      </c>
      <c r="J55" s="31">
        <f>F55/D55*100</f>
        <v>65.37392437489041</v>
      </c>
      <c r="K55" s="31">
        <f>K8+K33+K53+K54</f>
        <v>61642.14600000001</v>
      </c>
      <c r="L55" s="31">
        <f>F55/(F55-K55)*100</f>
        <v>118.60783107517577</v>
      </c>
      <c r="M55" s="18">
        <f>M8+M33+M53+M54</f>
        <v>97825.09999999999</v>
      </c>
      <c r="N55" s="18">
        <f>N8+N33+N53+N54</f>
        <v>7300.080000000019</v>
      </c>
      <c r="O55" s="49">
        <f>N55-M55</f>
        <v>-90525.01999999997</v>
      </c>
      <c r="P55" s="31">
        <f>N55/M55*100</f>
        <v>7.462379287115494</v>
      </c>
      <c r="Q55" s="31">
        <f>N55-34768</f>
        <v>-27467.91999999998</v>
      </c>
      <c r="R55" s="171">
        <f>N55/34768</f>
        <v>0.2099654855039122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592.98</v>
      </c>
      <c r="G64" s="43">
        <f t="shared" si="8"/>
        <v>-407.02</v>
      </c>
      <c r="H64" s="35"/>
      <c r="I64" s="53">
        <f t="shared" si="9"/>
        <v>-1907.02</v>
      </c>
      <c r="J64" s="53">
        <f t="shared" si="11"/>
        <v>23.7192</v>
      </c>
      <c r="K64" s="53">
        <f>F64-1754.68</f>
        <v>-1161.7</v>
      </c>
      <c r="L64" s="53">
        <f>F64/1754.68*100</f>
        <v>33.79419609273486</v>
      </c>
      <c r="M64" s="35">
        <f>E64-липень!E64</f>
        <v>600</v>
      </c>
      <c r="N64" s="35">
        <f>F64-липень!F64</f>
        <v>0</v>
      </c>
      <c r="O64" s="47">
        <f t="shared" si="10"/>
        <v>-600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3579.75</v>
      </c>
      <c r="G65" s="43">
        <f t="shared" si="8"/>
        <v>-1153.6899999999996</v>
      </c>
      <c r="H65" s="35">
        <f>F65/E65*100</f>
        <v>75.62681686046511</v>
      </c>
      <c r="I65" s="53">
        <f t="shared" si="9"/>
        <v>-7996.25</v>
      </c>
      <c r="J65" s="53">
        <f t="shared" si="11"/>
        <v>30.923894263994473</v>
      </c>
      <c r="K65" s="53">
        <f>F65-2291.79</f>
        <v>1287.96</v>
      </c>
      <c r="L65" s="53">
        <f>F65/2291.79*100</f>
        <v>156.19886638828163</v>
      </c>
      <c r="M65" s="35">
        <f>E65-липень!E65</f>
        <v>1020.6799999999994</v>
      </c>
      <c r="N65" s="35">
        <f>F65-липень!F65</f>
        <v>0</v>
      </c>
      <c r="O65" s="47">
        <f t="shared" si="10"/>
        <v>-1020.6799999999994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1818.64</v>
      </c>
      <c r="G66" s="43">
        <f t="shared" si="8"/>
        <v>781.94</v>
      </c>
      <c r="H66" s="35">
        <f>F66/E66*100</f>
        <v>175.42587055078616</v>
      </c>
      <c r="I66" s="53">
        <f t="shared" si="9"/>
        <v>-1181.36</v>
      </c>
      <c r="J66" s="53">
        <f t="shared" si="11"/>
        <v>60.62133333333334</v>
      </c>
      <c r="K66" s="53">
        <f>F66-864.62</f>
        <v>954.0200000000001</v>
      </c>
      <c r="L66" s="53">
        <f>F66/864.62*100</f>
        <v>210.33980245657054</v>
      </c>
      <c r="M66" s="35">
        <f>E66-липень!E66</f>
        <v>148.10000000000002</v>
      </c>
      <c r="N66" s="35">
        <f>F66-липень!F66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5991.37</v>
      </c>
      <c r="G67" s="55">
        <f t="shared" si="8"/>
        <v>-778.7699999999995</v>
      </c>
      <c r="H67" s="65">
        <f>F67/E67*100</f>
        <v>88.4969882454425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1080.2800000000002</v>
      </c>
      <c r="L67" s="54"/>
      <c r="M67" s="55">
        <f>M64+M65+M66</f>
        <v>1768.7799999999993</v>
      </c>
      <c r="N67" s="55">
        <f>N64+N65+N66</f>
        <v>0</v>
      </c>
      <c r="O67" s="54">
        <f t="shared" si="10"/>
        <v>-1768.7799999999993</v>
      </c>
      <c r="P67" s="54">
        <f>N67/M67*100</f>
        <v>0</v>
      </c>
      <c r="Q67" s="54">
        <f>N67-7985.28</f>
        <v>-7985.28</v>
      </c>
      <c r="R67" s="173">
        <f>N67/7985.28</f>
        <v>0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F70-0.85</f>
        <v>-0.13</v>
      </c>
      <c r="L70" s="53">
        <f>F70/0.85*100</f>
        <v>84.70588235294117</v>
      </c>
      <c r="M70" s="35">
        <f>E70-липень!E70</f>
        <v>0</v>
      </c>
      <c r="N70" s="35">
        <f>F70-липень!F70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0.8999999999999999</v>
      </c>
      <c r="G71" s="55">
        <f>F71-E71</f>
        <v>-26.1</v>
      </c>
      <c r="H71" s="65"/>
      <c r="I71" s="54">
        <f>F71-D71</f>
        <v>-53.1</v>
      </c>
      <c r="J71" s="54">
        <f>F71/D71*100</f>
        <v>1.6666666666666667</v>
      </c>
      <c r="K71" s="54">
        <f>K68+K69+K70</f>
        <v>-33.6</v>
      </c>
      <c r="L71" s="54"/>
      <c r="M71" s="55">
        <f>M68+M70+M69</f>
        <v>1</v>
      </c>
      <c r="N71" s="55">
        <f>N68+N70+N69</f>
        <v>0.09</v>
      </c>
      <c r="O71" s="54">
        <f>N71-M71</f>
        <v>-0.91</v>
      </c>
      <c r="P71" s="54"/>
      <c r="Q71" s="54">
        <f>N71-26.38</f>
        <v>-26.29</v>
      </c>
      <c r="R71" s="128">
        <f>N71/26.38</f>
        <v>0.003411675511751327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20.55</v>
      </c>
      <c r="G72" s="43">
        <f>F72-E72</f>
        <v>-2.669999999999998</v>
      </c>
      <c r="H72" s="35">
        <f>F72/E72*100</f>
        <v>88.50129198966408</v>
      </c>
      <c r="I72" s="53">
        <f>F72-D72</f>
        <v>-21.45</v>
      </c>
      <c r="J72" s="53">
        <f>F72/D72*100</f>
        <v>48.92857142857143</v>
      </c>
      <c r="K72" s="53">
        <f>F72-22.62</f>
        <v>-2.0700000000000003</v>
      </c>
      <c r="L72" s="53">
        <f>F72/22.62*100</f>
        <v>90.84880636604774</v>
      </c>
      <c r="M72" s="35">
        <f>E72-липень!E72</f>
        <v>0.23000000000000043</v>
      </c>
      <c r="N72" s="35">
        <f>F72-липень!F72</f>
        <v>0</v>
      </c>
      <c r="O72" s="47">
        <f>N72-M72</f>
        <v>-0.23000000000000043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5963.829999999999</v>
      </c>
      <c r="G74" s="44">
        <f>F74-E74</f>
        <v>-856.5300000000007</v>
      </c>
      <c r="H74" s="45">
        <f>F74/E74*100</f>
        <v>87.441571999132</v>
      </c>
      <c r="I74" s="31">
        <f>F74-D74</f>
        <v>-11208.170000000002</v>
      </c>
      <c r="J74" s="31">
        <f>F74/D74*100</f>
        <v>34.729967388772415</v>
      </c>
      <c r="K74" s="31">
        <f>K62+K67+K71+K72</f>
        <v>789.0600000000002</v>
      </c>
      <c r="L74" s="31"/>
      <c r="M74" s="27">
        <f>M62+M72+M67+M71</f>
        <v>1770.0099999999993</v>
      </c>
      <c r="N74" s="27">
        <f>N62+N72+N67+N71+N73</f>
        <v>0.09</v>
      </c>
      <c r="O74" s="31">
        <f>N74-M74</f>
        <v>-1769.9199999999994</v>
      </c>
      <c r="P74" s="31">
        <f>N74/M74*100</f>
        <v>0.005084717035496977</v>
      </c>
      <c r="Q74" s="31">
        <f>N74-8104.96</f>
        <v>-8104.87</v>
      </c>
      <c r="R74" s="127">
        <f>N74/8104.96</f>
        <v>1.1104311433986102E-05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398875.89</v>
      </c>
      <c r="G75" s="44">
        <f>F75-E75</f>
        <v>-41127.969999999914</v>
      </c>
      <c r="H75" s="45">
        <f>F75/E75*100</f>
        <v>90.65281609120431</v>
      </c>
      <c r="I75" s="31">
        <f>F75-D75</f>
        <v>-219318.70999999996</v>
      </c>
      <c r="J75" s="31">
        <f>F75/D75*100</f>
        <v>64.52270692755971</v>
      </c>
      <c r="K75" s="31">
        <f>K55+K74</f>
        <v>62431.206000000006</v>
      </c>
      <c r="L75" s="31">
        <f>F75/(F75-K75)*100</f>
        <v>118.55615765948615</v>
      </c>
      <c r="M75" s="18">
        <f>M55+M74</f>
        <v>99595.10999999999</v>
      </c>
      <c r="N75" s="18">
        <f>N55+N74</f>
        <v>7300.170000000019</v>
      </c>
      <c r="O75" s="31">
        <f>N75-M75</f>
        <v>-92294.93999999997</v>
      </c>
      <c r="P75" s="31">
        <f>N75/M75*100</f>
        <v>7.3298478208418265</v>
      </c>
      <c r="Q75" s="31">
        <f>N75-42872.96</f>
        <v>-35572.78999999998</v>
      </c>
      <c r="R75" s="127">
        <f>N75/42872.96</f>
        <v>0.17027445737359911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17</v>
      </c>
      <c r="D77" s="4" t="s">
        <v>118</v>
      </c>
    </row>
    <row r="78" spans="2:17" ht="31.5">
      <c r="B78" s="71" t="s">
        <v>154</v>
      </c>
      <c r="C78" s="34">
        <f>IF(O55&lt;0,ABS(O55/C77),0)</f>
        <v>5325.001176470587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42221</v>
      </c>
      <c r="D79" s="34">
        <v>2811</v>
      </c>
      <c r="N79" s="232"/>
      <c r="O79" s="232"/>
    </row>
    <row r="80" spans="3:15" ht="15.75">
      <c r="C80" s="111">
        <v>42220</v>
      </c>
      <c r="D80" s="34">
        <v>2811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42219</v>
      </c>
      <c r="D81" s="34">
        <v>1621.4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23865.03689</v>
      </c>
      <c r="E83" s="73"/>
      <c r="F83" s="156" t="s">
        <v>147</v>
      </c>
      <c r="G83" s="229" t="s">
        <v>149</v>
      </c>
      <c r="H83" s="229"/>
      <c r="I83" s="107">
        <v>14955.30468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H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73" sqref="N7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289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285</v>
      </c>
      <c r="N3" s="259" t="s">
        <v>286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282</v>
      </c>
      <c r="F4" s="222" t="s">
        <v>116</v>
      </c>
      <c r="G4" s="244" t="s">
        <v>283</v>
      </c>
      <c r="H4" s="246" t="s">
        <v>284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290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287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2"/>
      <c r="O79" s="232"/>
    </row>
    <row r="80" spans="3:15" ht="15.75">
      <c r="C80" s="111">
        <v>42215</v>
      </c>
      <c r="D80" s="34">
        <v>7239.9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42214</v>
      </c>
      <c r="D81" s="34">
        <v>4823.1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24842.96012</v>
      </c>
      <c r="E83" s="73"/>
      <c r="F83" s="156" t="s">
        <v>147</v>
      </c>
      <c r="G83" s="229" t="s">
        <v>149</v>
      </c>
      <c r="H83" s="229"/>
      <c r="I83" s="107">
        <v>15933.22791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4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51" sqref="H5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4" t="s">
        <v>280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117"/>
      <c r="R1" s="118"/>
    </row>
    <row r="2" spans="2:18" s="1" customFormat="1" ht="15.75" customHeight="1">
      <c r="B2" s="249"/>
      <c r="C2" s="249"/>
      <c r="D2" s="24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277</v>
      </c>
      <c r="N3" s="259" t="s">
        <v>278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279</v>
      </c>
      <c r="F4" s="262" t="s">
        <v>116</v>
      </c>
      <c r="G4" s="244" t="s">
        <v>275</v>
      </c>
      <c r="H4" s="246" t="s">
        <v>276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281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63"/>
      <c r="G5" s="245"/>
      <c r="H5" s="247"/>
      <c r="I5" s="243"/>
      <c r="J5" s="239"/>
      <c r="K5" s="235" t="s">
        <v>288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2"/>
      <c r="O79" s="232"/>
    </row>
    <row r="80" spans="3:15" ht="15.75">
      <c r="C80" s="111">
        <v>42181</v>
      </c>
      <c r="D80" s="34">
        <v>8722.4</v>
      </c>
      <c r="F80" s="217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42180</v>
      </c>
      <c r="D81" s="34">
        <v>4146.6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152943.93305000002</v>
      </c>
      <c r="E83" s="73"/>
      <c r="F83" s="218" t="s">
        <v>147</v>
      </c>
      <c r="G83" s="229" t="s">
        <v>149</v>
      </c>
      <c r="H83" s="229"/>
      <c r="I83" s="107">
        <v>144034.20084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4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22" sqref="K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274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266</v>
      </c>
      <c r="N3" s="259" t="s">
        <v>267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262</v>
      </c>
      <c r="F4" s="222" t="s">
        <v>116</v>
      </c>
      <c r="G4" s="244" t="s">
        <v>263</v>
      </c>
      <c r="H4" s="246" t="s">
        <v>264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273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265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42151</v>
      </c>
      <c r="D81" s="34">
        <v>3158.7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7:13" ht="15.75" customHeight="1"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153606.78</v>
      </c>
      <c r="E83" s="73"/>
      <c r="F83" s="156" t="s">
        <v>147</v>
      </c>
      <c r="G83" s="229" t="s">
        <v>149</v>
      </c>
      <c r="H83" s="229"/>
      <c r="I83" s="107">
        <v>144697.05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259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240</v>
      </c>
      <c r="N3" s="259" t="s">
        <v>241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237</v>
      </c>
      <c r="F4" s="265" t="s">
        <v>116</v>
      </c>
      <c r="G4" s="244" t="s">
        <v>238</v>
      </c>
      <c r="H4" s="246" t="s">
        <v>239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260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66"/>
      <c r="G5" s="245"/>
      <c r="H5" s="247"/>
      <c r="I5" s="243"/>
      <c r="J5" s="239"/>
      <c r="K5" s="235" t="s">
        <v>242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7"/>
      <c r="H103" s="237"/>
      <c r="I103" s="237"/>
      <c r="J103" s="237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23"/>
      <c r="H105" s="223"/>
      <c r="I105" s="177"/>
      <c r="J105" s="230"/>
      <c r="K105" s="230"/>
      <c r="L105" s="230"/>
      <c r="M105" s="230"/>
      <c r="N105" s="232"/>
      <c r="O105" s="232"/>
    </row>
    <row r="106" spans="3:15" ht="15.75" customHeight="1">
      <c r="C106" s="111">
        <v>42122</v>
      </c>
      <c r="D106" s="34">
        <v>4962.7</v>
      </c>
      <c r="G106" s="229" t="s">
        <v>151</v>
      </c>
      <c r="H106" s="229"/>
      <c r="I106" s="106">
        <v>8909.73221</v>
      </c>
      <c r="J106" s="231"/>
      <c r="K106" s="231"/>
      <c r="L106" s="231"/>
      <c r="M106" s="231"/>
      <c r="N106" s="232"/>
      <c r="O106" s="232"/>
    </row>
    <row r="107" spans="7:13" ht="15.75" customHeight="1">
      <c r="G107" s="233" t="s">
        <v>234</v>
      </c>
      <c r="H107" s="234"/>
      <c r="I107" s="103">
        <v>0</v>
      </c>
      <c r="J107" s="230"/>
      <c r="K107" s="230"/>
      <c r="L107" s="230"/>
      <c r="M107" s="230"/>
    </row>
    <row r="108" spans="2:13" ht="18.75" customHeight="1">
      <c r="B108" s="227" t="s">
        <v>160</v>
      </c>
      <c r="C108" s="228"/>
      <c r="D108" s="108">
        <v>154856.06924</v>
      </c>
      <c r="E108" s="73"/>
      <c r="F108" s="202" t="s">
        <v>147</v>
      </c>
      <c r="G108" s="229" t="s">
        <v>149</v>
      </c>
      <c r="H108" s="229"/>
      <c r="I108" s="107">
        <v>145946.33703</v>
      </c>
      <c r="J108" s="230"/>
      <c r="K108" s="230"/>
      <c r="L108" s="230"/>
      <c r="M108" s="230"/>
    </row>
    <row r="109" spans="7:12" ht="9.75" customHeight="1">
      <c r="G109" s="223"/>
      <c r="H109" s="223"/>
      <c r="I109" s="90"/>
      <c r="J109" s="91"/>
      <c r="K109" s="91"/>
      <c r="L109" s="91"/>
    </row>
    <row r="110" spans="2:12" ht="22.5" customHeight="1" hidden="1">
      <c r="B110" s="224" t="s">
        <v>167</v>
      </c>
      <c r="C110" s="225"/>
      <c r="D110" s="110">
        <v>0</v>
      </c>
      <c r="E110" s="70" t="s">
        <v>104</v>
      </c>
      <c r="G110" s="223"/>
      <c r="H110" s="223"/>
      <c r="I110" s="90"/>
      <c r="J110" s="91"/>
      <c r="K110" s="91"/>
      <c r="L110" s="91"/>
    </row>
    <row r="111" spans="4:15" ht="15.75">
      <c r="D111" s="105"/>
      <c r="N111" s="223"/>
      <c r="O111" s="223"/>
    </row>
    <row r="112" spans="4:15" ht="15.75">
      <c r="D112" s="104"/>
      <c r="I112" s="34"/>
      <c r="N112" s="226"/>
      <c r="O112" s="226"/>
    </row>
    <row r="113" spans="14:15" ht="15.75">
      <c r="N113" s="223"/>
      <c r="O113" s="22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231</v>
      </c>
      <c r="N3" s="259" t="s">
        <v>232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228</v>
      </c>
      <c r="F4" s="222" t="s">
        <v>116</v>
      </c>
      <c r="G4" s="244" t="s">
        <v>229</v>
      </c>
      <c r="H4" s="246" t="s">
        <v>230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236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233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42090</v>
      </c>
      <c r="D107" s="34">
        <v>4282.6</v>
      </c>
      <c r="G107" s="229" t="s">
        <v>151</v>
      </c>
      <c r="H107" s="229"/>
      <c r="I107" s="106">
        <f>8909732.21/1000</f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33" t="s">
        <v>234</v>
      </c>
      <c r="H108" s="234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147433239.77/1000</f>
        <v>147433.23977000001</v>
      </c>
      <c r="E109" s="73"/>
      <c r="F109" s="156" t="s">
        <v>147</v>
      </c>
      <c r="G109" s="229" t="s">
        <v>149</v>
      </c>
      <c r="H109" s="229"/>
      <c r="I109" s="107">
        <f>138523507.56/1000</f>
        <v>138523.50756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227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205</v>
      </c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221</v>
      </c>
      <c r="N3" s="259" t="s">
        <v>202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199</v>
      </c>
      <c r="F4" s="222" t="s">
        <v>116</v>
      </c>
      <c r="G4" s="244" t="s">
        <v>200</v>
      </c>
      <c r="H4" s="246" t="s">
        <v>201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226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224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42060</v>
      </c>
      <c r="D107" s="34">
        <v>1551.3</v>
      </c>
      <c r="G107" s="229" t="s">
        <v>151</v>
      </c>
      <c r="H107" s="229"/>
      <c r="I107" s="106"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67" t="s">
        <v>155</v>
      </c>
      <c r="H108" s="267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138305956.27/1000</f>
        <v>138305.95627000002</v>
      </c>
      <c r="E109" s="73"/>
      <c r="F109" s="156" t="s">
        <v>147</v>
      </c>
      <c r="G109" s="229" t="s">
        <v>149</v>
      </c>
      <c r="H109" s="229"/>
      <c r="I109" s="107">
        <v>129396.23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193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205</v>
      </c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220</v>
      </c>
      <c r="N3" s="259" t="s">
        <v>175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219</v>
      </c>
      <c r="F4" s="222" t="s">
        <v>116</v>
      </c>
      <c r="G4" s="244" t="s">
        <v>173</v>
      </c>
      <c r="H4" s="268" t="s">
        <v>174</v>
      </c>
      <c r="I4" s="270" t="s">
        <v>217</v>
      </c>
      <c r="J4" s="273" t="s">
        <v>218</v>
      </c>
      <c r="K4" s="116" t="s">
        <v>172</v>
      </c>
      <c r="L4" s="121" t="s">
        <v>171</v>
      </c>
      <c r="M4" s="238"/>
      <c r="N4" s="240" t="s">
        <v>194</v>
      </c>
      <c r="O4" s="270" t="s">
        <v>136</v>
      </c>
      <c r="P4" s="259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69"/>
      <c r="I5" s="271"/>
      <c r="J5" s="274"/>
      <c r="K5" s="235" t="s">
        <v>188</v>
      </c>
      <c r="L5" s="236"/>
      <c r="M5" s="239"/>
      <c r="N5" s="241"/>
      <c r="O5" s="271"/>
      <c r="P5" s="259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7"/>
      <c r="H102" s="237"/>
      <c r="I102" s="237"/>
      <c r="J102" s="237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29" t="s">
        <v>151</v>
      </c>
      <c r="H104" s="229"/>
      <c r="I104" s="106">
        <f>'січень '!I139</f>
        <v>8909.733</v>
      </c>
      <c r="J104" s="272" t="s">
        <v>161</v>
      </c>
      <c r="K104" s="272"/>
      <c r="L104" s="272"/>
      <c r="M104" s="272"/>
      <c r="N104" s="232"/>
      <c r="O104" s="232"/>
    </row>
    <row r="105" spans="3:15" ht="15.75">
      <c r="C105" s="111">
        <v>42032</v>
      </c>
      <c r="D105" s="34">
        <v>2838.1</v>
      </c>
      <c r="G105" s="267" t="s">
        <v>155</v>
      </c>
      <c r="H105" s="267"/>
      <c r="I105" s="103">
        <f>'січень '!I140</f>
        <v>0</v>
      </c>
      <c r="J105" s="275" t="s">
        <v>162</v>
      </c>
      <c r="K105" s="275"/>
      <c r="L105" s="275"/>
      <c r="M105" s="275"/>
      <c r="N105" s="232"/>
      <c r="O105" s="232"/>
    </row>
    <row r="106" spans="7:13" ht="15.75" customHeight="1">
      <c r="G106" s="229" t="s">
        <v>148</v>
      </c>
      <c r="H106" s="229"/>
      <c r="I106" s="103">
        <f>'січень '!I141</f>
        <v>0</v>
      </c>
      <c r="J106" s="272" t="s">
        <v>163</v>
      </c>
      <c r="K106" s="272"/>
      <c r="L106" s="272"/>
      <c r="M106" s="272"/>
    </row>
    <row r="107" spans="2:13" ht="18.75" customHeight="1">
      <c r="B107" s="227" t="s">
        <v>160</v>
      </c>
      <c r="C107" s="228"/>
      <c r="D107" s="108">
        <f>'січень '!D142</f>
        <v>132375.63</v>
      </c>
      <c r="E107" s="73"/>
      <c r="F107" s="156" t="s">
        <v>147</v>
      </c>
      <c r="G107" s="229" t="s">
        <v>149</v>
      </c>
      <c r="H107" s="229"/>
      <c r="I107" s="107">
        <f>'січень '!I142</f>
        <v>123465.893</v>
      </c>
      <c r="J107" s="272" t="s">
        <v>164</v>
      </c>
      <c r="K107" s="272"/>
      <c r="L107" s="272"/>
      <c r="M107" s="272"/>
    </row>
    <row r="108" spans="7:12" ht="9.75" customHeight="1">
      <c r="G108" s="223"/>
      <c r="H108" s="223"/>
      <c r="I108" s="90"/>
      <c r="J108" s="91"/>
      <c r="K108" s="91"/>
      <c r="L108" s="91"/>
    </row>
    <row r="109" spans="2:12" ht="22.5" customHeight="1" hidden="1">
      <c r="B109" s="224" t="s">
        <v>167</v>
      </c>
      <c r="C109" s="225"/>
      <c r="D109" s="110">
        <v>0</v>
      </c>
      <c r="E109" s="70" t="s">
        <v>104</v>
      </c>
      <c r="G109" s="223"/>
      <c r="H109" s="223"/>
      <c r="I109" s="90"/>
      <c r="J109" s="91"/>
      <c r="K109" s="91"/>
      <c r="L109" s="91"/>
    </row>
    <row r="110" spans="4:15" ht="15.75">
      <c r="D110" s="105"/>
      <c r="N110" s="223"/>
      <c r="O110" s="223"/>
    </row>
    <row r="111" spans="4:15" ht="15.75">
      <c r="D111" s="104"/>
      <c r="I111" s="34"/>
      <c r="N111" s="226"/>
      <c r="O111" s="226"/>
    </row>
    <row r="112" spans="14:15" ht="15.75">
      <c r="N112" s="223"/>
      <c r="O112" s="22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48" t="s">
        <v>193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203</v>
      </c>
      <c r="C3" s="253" t="s">
        <v>0</v>
      </c>
      <c r="D3" s="254" t="s">
        <v>190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187</v>
      </c>
      <c r="N3" s="259" t="s">
        <v>175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153</v>
      </c>
      <c r="F4" s="222" t="s">
        <v>116</v>
      </c>
      <c r="G4" s="244" t="s">
        <v>173</v>
      </c>
      <c r="H4" s="268" t="s">
        <v>174</v>
      </c>
      <c r="I4" s="270" t="s">
        <v>186</v>
      </c>
      <c r="J4" s="273" t="s">
        <v>189</v>
      </c>
      <c r="K4" s="116" t="s">
        <v>172</v>
      </c>
      <c r="L4" s="121" t="s">
        <v>171</v>
      </c>
      <c r="M4" s="238"/>
      <c r="N4" s="240" t="s">
        <v>194</v>
      </c>
      <c r="O4" s="270" t="s">
        <v>136</v>
      </c>
      <c r="P4" s="259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69"/>
      <c r="I5" s="271"/>
      <c r="J5" s="274"/>
      <c r="K5" s="235" t="s">
        <v>188</v>
      </c>
      <c r="L5" s="236"/>
      <c r="M5" s="239"/>
      <c r="N5" s="241"/>
      <c r="O5" s="271"/>
      <c r="P5" s="259"/>
      <c r="Q5" s="235" t="s">
        <v>176</v>
      </c>
      <c r="R5" s="236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7"/>
      <c r="H137" s="237"/>
      <c r="I137" s="237"/>
      <c r="J137" s="23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29" t="s">
        <v>151</v>
      </c>
      <c r="H139" s="229"/>
      <c r="I139" s="106">
        <f>8909.733</f>
        <v>8909.733</v>
      </c>
      <c r="J139" s="272" t="s">
        <v>161</v>
      </c>
      <c r="K139" s="272"/>
      <c r="L139" s="272"/>
      <c r="M139" s="272"/>
      <c r="N139" s="232"/>
      <c r="O139" s="232"/>
    </row>
    <row r="140" spans="3:15" ht="15.75">
      <c r="C140" s="111">
        <v>42032</v>
      </c>
      <c r="D140" s="34">
        <v>2838.1</v>
      </c>
      <c r="G140" s="267" t="s">
        <v>155</v>
      </c>
      <c r="H140" s="267"/>
      <c r="I140" s="103">
        <v>0</v>
      </c>
      <c r="J140" s="275" t="s">
        <v>162</v>
      </c>
      <c r="K140" s="275"/>
      <c r="L140" s="275"/>
      <c r="M140" s="275"/>
      <c r="N140" s="232"/>
      <c r="O140" s="232"/>
    </row>
    <row r="141" spans="7:13" ht="15.75" customHeight="1">
      <c r="G141" s="229" t="s">
        <v>148</v>
      </c>
      <c r="H141" s="229"/>
      <c r="I141" s="103">
        <v>0</v>
      </c>
      <c r="J141" s="272" t="s">
        <v>163</v>
      </c>
      <c r="K141" s="272"/>
      <c r="L141" s="272"/>
      <c r="M141" s="272"/>
    </row>
    <row r="142" spans="2:13" ht="18.75" customHeight="1">
      <c r="B142" s="227" t="s">
        <v>160</v>
      </c>
      <c r="C142" s="228"/>
      <c r="D142" s="108">
        <f>132375.63</f>
        <v>132375.63</v>
      </c>
      <c r="E142" s="73"/>
      <c r="F142" s="156" t="s">
        <v>147</v>
      </c>
      <c r="G142" s="229" t="s">
        <v>149</v>
      </c>
      <c r="H142" s="229"/>
      <c r="I142" s="107">
        <f>123465.893</f>
        <v>123465.893</v>
      </c>
      <c r="J142" s="272" t="s">
        <v>164</v>
      </c>
      <c r="K142" s="272"/>
      <c r="L142" s="272"/>
      <c r="M142" s="272"/>
    </row>
    <row r="143" spans="7:12" ht="9.75" customHeight="1">
      <c r="G143" s="223"/>
      <c r="H143" s="223"/>
      <c r="I143" s="90"/>
      <c r="J143" s="91"/>
      <c r="K143" s="91"/>
      <c r="L143" s="91"/>
    </row>
    <row r="144" spans="2:12" ht="22.5" customHeight="1" hidden="1">
      <c r="B144" s="224" t="s">
        <v>167</v>
      </c>
      <c r="C144" s="225"/>
      <c r="D144" s="110">
        <v>0</v>
      </c>
      <c r="E144" s="70" t="s">
        <v>104</v>
      </c>
      <c r="G144" s="223"/>
      <c r="H144" s="223"/>
      <c r="I144" s="90"/>
      <c r="J144" s="91"/>
      <c r="K144" s="91"/>
      <c r="L144" s="91"/>
    </row>
    <row r="145" spans="4:15" ht="15.75">
      <c r="D145" s="105"/>
      <c r="N145" s="223"/>
      <c r="O145" s="223"/>
    </row>
    <row r="146" spans="4:15" ht="15.75">
      <c r="D146" s="104"/>
      <c r="I146" s="34"/>
      <c r="N146" s="226"/>
      <c r="O146" s="226"/>
    </row>
    <row r="147" spans="14:15" ht="15.75">
      <c r="N147" s="223"/>
      <c r="O147" s="22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2015-08-05T12:44:03Z</cp:lastPrinted>
  <dcterms:created xsi:type="dcterms:W3CDTF">2003-07-28T11:27:56Z</dcterms:created>
  <dcterms:modified xsi:type="dcterms:W3CDTF">2015-08-06T09:21:27Z</dcterms:modified>
  <cp:category/>
  <cp:version/>
  <cp:contentType/>
  <cp:contentStatus/>
</cp:coreProperties>
</file>